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<sst xmlns="http://schemas.openxmlformats.org/spreadsheetml/2006/main" count="1561" uniqueCount="227">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</sst>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417347.64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5" sqref="E10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219</v>
      </c>
      <c r="O3" s="429" t="s">
        <v>220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217</v>
      </c>
      <c r="H4" s="427" t="s">
        <v>218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221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859029.9600000001</v>
      </c>
      <c r="G8" s="191">
        <f aca="true" t="shared" si="0" ref="G8:G37">F8-E8</f>
        <v>-25391.889999999898</v>
      </c>
      <c r="H8" s="192">
        <f>F8/E8*100</f>
        <v>97.128984318965</v>
      </c>
      <c r="I8" s="193">
        <f>F8-D8</f>
        <v>-98041.48999999999</v>
      </c>
      <c r="J8" s="193">
        <f>F8/D8*100</f>
        <v>89.75609501255106</v>
      </c>
      <c r="K8" s="191">
        <v>608809.78</v>
      </c>
      <c r="L8" s="191">
        <f aca="true" t="shared" si="1" ref="L8:L51">F8-K8</f>
        <v>250220.18000000005</v>
      </c>
      <c r="M8" s="250">
        <f aca="true" t="shared" si="2" ref="M8:M28">F8/K8</f>
        <v>1.4109989494584008</v>
      </c>
      <c r="N8" s="191">
        <f>N9+N15+N18+N19+N20+N17</f>
        <v>88745.92000000001</v>
      </c>
      <c r="O8" s="191">
        <f>O9+O15+O18+O19+O20+O17</f>
        <v>61411.20000000004</v>
      </c>
      <c r="P8" s="191">
        <f>O8-N8</f>
        <v>-27334.719999999972</v>
      </c>
      <c r="Q8" s="191">
        <f>O8/N8*100</f>
        <v>69.19889950997188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465285.1</v>
      </c>
      <c r="G9" s="190">
        <f t="shared" si="0"/>
        <v>-16435.570000000007</v>
      </c>
      <c r="H9" s="197">
        <f>F9/E9*100</f>
        <v>96.58815346246197</v>
      </c>
      <c r="I9" s="198">
        <f>F9-D9</f>
        <v>-65303.90000000002</v>
      </c>
      <c r="J9" s="198">
        <f>F9/D9*100</f>
        <v>87.69218736159249</v>
      </c>
      <c r="K9" s="412">
        <v>329224.03</v>
      </c>
      <c r="L9" s="199">
        <f t="shared" si="1"/>
        <v>136061.06999999995</v>
      </c>
      <c r="M9" s="251">
        <f t="shared" si="2"/>
        <v>1.4132780647876764</v>
      </c>
      <c r="N9" s="197">
        <f>E9-жовтень!E9</f>
        <v>52597</v>
      </c>
      <c r="O9" s="200">
        <f>F9-жовтень!F9</f>
        <v>34002.31</v>
      </c>
      <c r="P9" s="201">
        <f>O9-N9</f>
        <v>-18594.690000000002</v>
      </c>
      <c r="Q9" s="198">
        <f>O9/N9*100</f>
        <v>64.64686198832632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410058.26</v>
      </c>
      <c r="G10" s="109">
        <f t="shared" si="0"/>
        <v>-27391.97999999998</v>
      </c>
      <c r="H10" s="32">
        <f aca="true" t="shared" si="3" ref="H10:H36">F10/E10*100</f>
        <v>93.7382638080162</v>
      </c>
      <c r="I10" s="110">
        <f aca="true" t="shared" si="4" ref="I10:I37">F10-D10</f>
        <v>-75150.73999999999</v>
      </c>
      <c r="J10" s="110">
        <f aca="true" t="shared" si="5" ref="J10:J36">F10/D10*100</f>
        <v>84.51167641160819</v>
      </c>
      <c r="K10" s="112">
        <v>292222.53</v>
      </c>
      <c r="L10" s="112">
        <f t="shared" si="1"/>
        <v>117835.72999999998</v>
      </c>
      <c r="M10" s="252">
        <f t="shared" si="2"/>
        <v>1.4032397159794625</v>
      </c>
      <c r="N10" s="111">
        <f>E10-жовтень!E10</f>
        <v>51300</v>
      </c>
      <c r="O10" s="179">
        <f>F10-жовтень!F10</f>
        <v>30609.910000000033</v>
      </c>
      <c r="P10" s="112">
        <f aca="true" t="shared" si="6" ref="P10:P37">O10-N10</f>
        <v>-20690.089999999967</v>
      </c>
      <c r="Q10" s="198">
        <f aca="true" t="shared" si="7" ref="Q10:Q16">O10/N10*100</f>
        <v>59.668440545809034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34367.55</v>
      </c>
      <c r="G11" s="109">
        <f t="shared" si="0"/>
        <v>11452.610000000004</v>
      </c>
      <c r="H11" s="32">
        <f t="shared" si="3"/>
        <v>149.97879112928075</v>
      </c>
      <c r="I11" s="110">
        <f t="shared" si="4"/>
        <v>11367.550000000003</v>
      </c>
      <c r="J11" s="110">
        <f t="shared" si="5"/>
        <v>149.42413043478263</v>
      </c>
      <c r="K11" s="112">
        <v>17520.05</v>
      </c>
      <c r="L11" s="112">
        <f t="shared" si="1"/>
        <v>16847.500000000004</v>
      </c>
      <c r="M11" s="252">
        <f t="shared" si="2"/>
        <v>1.9616125524755925</v>
      </c>
      <c r="N11" s="111">
        <f>E11-жовтень!E11</f>
        <v>100</v>
      </c>
      <c r="O11" s="179">
        <f>F11-жовтень!F11</f>
        <v>1603.4500000000044</v>
      </c>
      <c r="P11" s="112">
        <f t="shared" si="6"/>
        <v>1503.4500000000044</v>
      </c>
      <c r="Q11" s="198">
        <f t="shared" si="7"/>
        <v>1603.4500000000044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9101.88</v>
      </c>
      <c r="G12" s="109">
        <f t="shared" si="0"/>
        <v>2641.2699999999995</v>
      </c>
      <c r="H12" s="32">
        <f t="shared" si="3"/>
        <v>140.88267206966526</v>
      </c>
      <c r="I12" s="110">
        <f t="shared" si="4"/>
        <v>2601.879999999999</v>
      </c>
      <c r="J12" s="110">
        <f t="shared" si="5"/>
        <v>140.02892307692306</v>
      </c>
      <c r="K12" s="112">
        <v>4581.23</v>
      </c>
      <c r="L12" s="112">
        <f t="shared" si="1"/>
        <v>4520.65</v>
      </c>
      <c r="M12" s="252">
        <f t="shared" si="2"/>
        <v>1.9867764770596543</v>
      </c>
      <c r="N12" s="111">
        <f>E12-жовтень!E12</f>
        <v>80</v>
      </c>
      <c r="O12" s="179">
        <f>F12-жовтень!F12</f>
        <v>1125.3099999999995</v>
      </c>
      <c r="P12" s="112">
        <f t="shared" si="6"/>
        <v>1045.3099999999995</v>
      </c>
      <c r="Q12" s="198">
        <f t="shared" si="7"/>
        <v>1406.6374999999994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8789.25</v>
      </c>
      <c r="G13" s="109">
        <f t="shared" si="0"/>
        <v>-2625.59</v>
      </c>
      <c r="H13" s="32">
        <f t="shared" si="3"/>
        <v>76.99845113904355</v>
      </c>
      <c r="I13" s="110">
        <f t="shared" si="4"/>
        <v>-3610.75</v>
      </c>
      <c r="J13" s="110">
        <f t="shared" si="5"/>
        <v>70.88104838709678</v>
      </c>
      <c r="K13" s="112">
        <v>6730.35</v>
      </c>
      <c r="L13" s="112">
        <f t="shared" si="1"/>
        <v>2058.8999999999996</v>
      </c>
      <c r="M13" s="252">
        <f t="shared" si="2"/>
        <v>1.3059127682809957</v>
      </c>
      <c r="N13" s="111">
        <f>E13-жовтень!E13</f>
        <v>1100</v>
      </c>
      <c r="O13" s="179">
        <f>F13-жовтень!F13</f>
        <v>439.4599999999991</v>
      </c>
      <c r="P13" s="112">
        <f t="shared" si="6"/>
        <v>-660.5400000000009</v>
      </c>
      <c r="Q13" s="198">
        <f t="shared" si="7"/>
        <v>39.95090909090901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84980.09</v>
      </c>
      <c r="G19" s="190">
        <f t="shared" si="0"/>
        <v>-16420.309999999998</v>
      </c>
      <c r="H19" s="197">
        <f t="shared" si="3"/>
        <v>83.80646427430267</v>
      </c>
      <c r="I19" s="198">
        <f t="shared" si="4"/>
        <v>-24919.910000000003</v>
      </c>
      <c r="J19" s="198">
        <f t="shared" si="5"/>
        <v>77.32492265696087</v>
      </c>
      <c r="K19" s="209">
        <v>65538.97</v>
      </c>
      <c r="L19" s="201">
        <f t="shared" si="1"/>
        <v>19441.119999999995</v>
      </c>
      <c r="M19" s="259">
        <f t="shared" si="2"/>
        <v>1.2966345061571762</v>
      </c>
      <c r="N19" s="197">
        <f>E19-жовтень!E19</f>
        <v>10440</v>
      </c>
      <c r="O19" s="200">
        <f>F19-жовтень!F19</f>
        <v>1349.6600000000035</v>
      </c>
      <c r="P19" s="201">
        <f t="shared" si="6"/>
        <v>-9090.339999999997</v>
      </c>
      <c r="Q19" s="198">
        <f aca="true" t="shared" si="9" ref="Q19:Q24">O19/N19*100</f>
        <v>12.927777777777811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308231.79000000004</v>
      </c>
      <c r="G20" s="190">
        <f t="shared" si="0"/>
        <v>7531.810000000056</v>
      </c>
      <c r="H20" s="197">
        <f t="shared" si="3"/>
        <v>102.50475906250477</v>
      </c>
      <c r="I20" s="198">
        <f t="shared" si="4"/>
        <v>-7744.859999999986</v>
      </c>
      <c r="J20" s="198">
        <f t="shared" si="5"/>
        <v>97.54891382005601</v>
      </c>
      <c r="K20" s="198">
        <v>207711.81</v>
      </c>
      <c r="L20" s="201">
        <f t="shared" si="1"/>
        <v>100519.98000000004</v>
      </c>
      <c r="M20" s="254">
        <f t="shared" si="2"/>
        <v>1.48393964695604</v>
      </c>
      <c r="N20" s="197">
        <f>N21+N30+N31+N32</f>
        <v>25593.920000000013</v>
      </c>
      <c r="O20" s="200">
        <f>F20-жовтень!F20</f>
        <v>26019.040000000037</v>
      </c>
      <c r="P20" s="201">
        <f t="shared" si="6"/>
        <v>425.12000000002445</v>
      </c>
      <c r="Q20" s="198">
        <f t="shared" si="9"/>
        <v>101.66101949212947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158820.64</v>
      </c>
      <c r="G21" s="190">
        <f t="shared" si="0"/>
        <v>-4142.779999999999</v>
      </c>
      <c r="H21" s="197">
        <f t="shared" si="3"/>
        <v>97.4578466750391</v>
      </c>
      <c r="I21" s="198">
        <f t="shared" si="4"/>
        <v>-16079.00999999998</v>
      </c>
      <c r="J21" s="198">
        <f t="shared" si="5"/>
        <v>90.8067225977868</v>
      </c>
      <c r="K21" s="198">
        <v>109750.31</v>
      </c>
      <c r="L21" s="201">
        <f t="shared" si="1"/>
        <v>49070.330000000016</v>
      </c>
      <c r="M21" s="254">
        <f t="shared" si="2"/>
        <v>1.447108805432987</v>
      </c>
      <c r="N21" s="197">
        <f>N22+N25+N26</f>
        <v>13520.01000000001</v>
      </c>
      <c r="O21" s="200">
        <f>F21-жовтень!F21</f>
        <v>5164.320000000007</v>
      </c>
      <c r="P21" s="201">
        <f t="shared" si="6"/>
        <v>-8355.690000000002</v>
      </c>
      <c r="Q21" s="198">
        <f t="shared" si="9"/>
        <v>38.19760488342837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20583.22</v>
      </c>
      <c r="G22" s="212">
        <f t="shared" si="0"/>
        <v>2858.8199999999997</v>
      </c>
      <c r="H22" s="214">
        <f t="shared" si="3"/>
        <v>116.12929069531268</v>
      </c>
      <c r="I22" s="215">
        <f t="shared" si="4"/>
        <v>2083.220000000001</v>
      </c>
      <c r="J22" s="215">
        <f t="shared" si="5"/>
        <v>111.26064864864867</v>
      </c>
      <c r="K22" s="216">
        <v>12713.66</v>
      </c>
      <c r="L22" s="206">
        <f t="shared" si="1"/>
        <v>7869.560000000001</v>
      </c>
      <c r="M22" s="262">
        <f t="shared" si="2"/>
        <v>1.6189846196925197</v>
      </c>
      <c r="N22" s="214">
        <f>E22-жовтень!E22</f>
        <v>400</v>
      </c>
      <c r="O22" s="217">
        <f>F22-жовтень!F22</f>
        <v>361.83000000000175</v>
      </c>
      <c r="P22" s="218">
        <f t="shared" si="6"/>
        <v>-38.169999999998254</v>
      </c>
      <c r="Q22" s="215">
        <f t="shared" si="9"/>
        <v>90.45750000000044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814.19</v>
      </c>
      <c r="G23" s="241">
        <f t="shared" si="0"/>
        <v>-610.21</v>
      </c>
      <c r="H23" s="242">
        <f t="shared" si="3"/>
        <v>57.160207806795846</v>
      </c>
      <c r="I23" s="243">
        <f t="shared" si="4"/>
        <v>-1185.81</v>
      </c>
      <c r="J23" s="243">
        <f t="shared" si="5"/>
        <v>40.709500000000006</v>
      </c>
      <c r="K23" s="243">
        <v>683.67</v>
      </c>
      <c r="L23" s="243">
        <f t="shared" si="1"/>
        <v>130.5200000000001</v>
      </c>
      <c r="M23" s="413">
        <f t="shared" si="2"/>
        <v>1.1909108195474427</v>
      </c>
      <c r="N23" s="242">
        <f>E23-жовтень!E23</f>
        <v>200</v>
      </c>
      <c r="O23" s="242">
        <f>F23-жовтень!F23</f>
        <v>18.65000000000009</v>
      </c>
      <c r="P23" s="243">
        <f t="shared" si="6"/>
        <v>-181.3499999999999</v>
      </c>
      <c r="Q23" s="243">
        <f t="shared" si="9"/>
        <v>9.325000000000045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19769.02</v>
      </c>
      <c r="G24" s="241">
        <f t="shared" si="0"/>
        <v>3469.0200000000004</v>
      </c>
      <c r="H24" s="242">
        <f t="shared" si="3"/>
        <v>121.28233128834356</v>
      </c>
      <c r="I24" s="243">
        <f t="shared" si="4"/>
        <v>3269.0200000000004</v>
      </c>
      <c r="J24" s="243">
        <f t="shared" si="5"/>
        <v>119.81224242424243</v>
      </c>
      <c r="K24" s="243">
        <v>12029.99</v>
      </c>
      <c r="L24" s="243">
        <f t="shared" si="1"/>
        <v>7739.030000000001</v>
      </c>
      <c r="M24" s="413">
        <f t="shared" si="2"/>
        <v>1.6433114241990228</v>
      </c>
      <c r="N24" s="242">
        <f>E24-жовтень!E24</f>
        <v>200</v>
      </c>
      <c r="O24" s="242">
        <f>F24-жовтень!F24</f>
        <v>343.1700000000019</v>
      </c>
      <c r="P24" s="243">
        <f t="shared" si="6"/>
        <v>143.1700000000019</v>
      </c>
      <c r="Q24" s="243">
        <f t="shared" si="9"/>
        <v>171.58500000000095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137427.13</v>
      </c>
      <c r="G26" s="212">
        <f t="shared" si="0"/>
        <v>-6831.850000000006</v>
      </c>
      <c r="H26" s="214">
        <f t="shared" si="3"/>
        <v>95.26417696839393</v>
      </c>
      <c r="I26" s="215">
        <f t="shared" si="4"/>
        <v>-17972.51999999999</v>
      </c>
      <c r="J26" s="215">
        <f t="shared" si="5"/>
        <v>88.43464576657671</v>
      </c>
      <c r="K26" s="216">
        <v>93387.45</v>
      </c>
      <c r="L26" s="216">
        <f t="shared" si="1"/>
        <v>44039.68000000001</v>
      </c>
      <c r="M26" s="256">
        <f t="shared" si="2"/>
        <v>1.471580281932958</v>
      </c>
      <c r="N26" s="214">
        <f>E26-жовтень!E26</f>
        <v>13120.01000000001</v>
      </c>
      <c r="O26" s="217">
        <f>F26-жовтень!F26</f>
        <v>4802.489999999991</v>
      </c>
      <c r="P26" s="218">
        <f t="shared" si="6"/>
        <v>-8317.520000000019</v>
      </c>
      <c r="Q26" s="215">
        <f>O26/N26*100</f>
        <v>36.60431661256346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43010.74</v>
      </c>
      <c r="G27" s="241">
        <f t="shared" si="0"/>
        <v>-1401.060000000005</v>
      </c>
      <c r="H27" s="242">
        <f t="shared" si="3"/>
        <v>96.84529787128645</v>
      </c>
      <c r="I27" s="243">
        <f t="shared" si="4"/>
        <v>-4356.260000000002</v>
      </c>
      <c r="J27" s="243">
        <f t="shared" si="5"/>
        <v>90.80317520636729</v>
      </c>
      <c r="K27" s="243">
        <v>25267.13</v>
      </c>
      <c r="L27" s="243">
        <f t="shared" si="1"/>
        <v>17743.609999999997</v>
      </c>
      <c r="M27" s="413">
        <f t="shared" si="2"/>
        <v>1.7022408164283003</v>
      </c>
      <c r="N27" s="242">
        <f>E27-жовтень!E27</f>
        <v>4010</v>
      </c>
      <c r="O27" s="242">
        <f>F27-жовтень!F27</f>
        <v>1004.4599999999991</v>
      </c>
      <c r="P27" s="243">
        <f t="shared" si="6"/>
        <v>-3005.540000000001</v>
      </c>
      <c r="Q27" s="243">
        <f>O27/N27*100</f>
        <v>25.048877805486264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94416.39</v>
      </c>
      <c r="G28" s="241">
        <f t="shared" si="0"/>
        <v>-5430.779999999999</v>
      </c>
      <c r="H28" s="242">
        <f t="shared" si="3"/>
        <v>94.56090743483266</v>
      </c>
      <c r="I28" s="243">
        <f t="shared" si="4"/>
        <v>-13616.259999999995</v>
      </c>
      <c r="J28" s="243">
        <f t="shared" si="5"/>
        <v>87.39616217874875</v>
      </c>
      <c r="K28" s="243">
        <v>68120.32</v>
      </c>
      <c r="L28" s="243">
        <f t="shared" si="1"/>
        <v>26296.069999999992</v>
      </c>
      <c r="M28" s="413">
        <f t="shared" si="2"/>
        <v>1.3860238765760347</v>
      </c>
      <c r="N28" s="242">
        <f>E28-жовтень!E28</f>
        <v>9110</v>
      </c>
      <c r="O28" s="242">
        <f>F28-жовтень!F28</f>
        <v>3798.029999999999</v>
      </c>
      <c r="P28" s="243">
        <f t="shared" si="6"/>
        <v>-5311.970000000001</v>
      </c>
      <c r="Q28" s="243">
        <f>O28/N28*100</f>
        <v>41.69077936333698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111.68</v>
      </c>
      <c r="G30" s="190">
        <f t="shared" si="0"/>
        <v>40.870000000000005</v>
      </c>
      <c r="H30" s="197">
        <f t="shared" si="3"/>
        <v>157.7178364637763</v>
      </c>
      <c r="I30" s="198">
        <f t="shared" si="4"/>
        <v>34.68000000000001</v>
      </c>
      <c r="J30" s="198">
        <f t="shared" si="5"/>
        <v>145.03896103896105</v>
      </c>
      <c r="K30" s="198">
        <v>74.09</v>
      </c>
      <c r="L30" s="198">
        <f t="shared" si="1"/>
        <v>37.59</v>
      </c>
      <c r="M30" s="255">
        <f>F30/K30</f>
        <v>1.5073559184775274</v>
      </c>
      <c r="N30" s="197">
        <f>E30-жовтень!E30</f>
        <v>8</v>
      </c>
      <c r="O30" s="200">
        <f>F30-жовтень!F30</f>
        <v>15.5</v>
      </c>
      <c r="P30" s="201">
        <f t="shared" si="6"/>
        <v>7.5</v>
      </c>
      <c r="Q30" s="198">
        <f>O30/N30*100</f>
        <v>193.75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149473.29</v>
      </c>
      <c r="G32" s="202">
        <f t="shared" si="0"/>
        <v>11807.540000000008</v>
      </c>
      <c r="H32" s="204">
        <f t="shared" si="3"/>
        <v>108.57696267953358</v>
      </c>
      <c r="I32" s="205">
        <f t="shared" si="4"/>
        <v>8473.290000000008</v>
      </c>
      <c r="J32" s="205">
        <f t="shared" si="5"/>
        <v>106.0094255319149</v>
      </c>
      <c r="K32" s="219">
        <v>98660.28</v>
      </c>
      <c r="L32" s="219">
        <f>F32-K32</f>
        <v>50813.01000000001</v>
      </c>
      <c r="M32" s="411">
        <f>F32/K32</f>
        <v>1.5150300607296068</v>
      </c>
      <c r="N32" s="197">
        <f>E32-жовтень!E32</f>
        <v>12065.910000000003</v>
      </c>
      <c r="O32" s="200">
        <f>F32-жовтень!F32</f>
        <v>20840.12000000001</v>
      </c>
      <c r="P32" s="207">
        <f t="shared" si="6"/>
        <v>8774.210000000006</v>
      </c>
      <c r="Q32" s="205">
        <f>O32/N32*100</f>
        <v>172.71900751787476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36993.62</v>
      </c>
      <c r="G34" s="109">
        <f t="shared" si="0"/>
        <v>3730.6500000000015</v>
      </c>
      <c r="H34" s="111">
        <f t="shared" si="3"/>
        <v>111.21562506294538</v>
      </c>
      <c r="I34" s="110">
        <f t="shared" si="4"/>
        <v>2776.6200000000026</v>
      </c>
      <c r="J34" s="110">
        <f t="shared" si="5"/>
        <v>108.1147382879855</v>
      </c>
      <c r="K34" s="142">
        <v>23706.55</v>
      </c>
      <c r="L34" s="142">
        <f t="shared" si="1"/>
        <v>13287.070000000003</v>
      </c>
      <c r="M34" s="264">
        <f t="shared" si="10"/>
        <v>1.5604809641217303</v>
      </c>
      <c r="N34" s="111">
        <f>E34-жовтень!E34</f>
        <v>2600</v>
      </c>
      <c r="O34" s="179">
        <f>F34-жовтень!F34</f>
        <v>5417.580000000002</v>
      </c>
      <c r="P34" s="112">
        <f t="shared" si="6"/>
        <v>2817.5800000000017</v>
      </c>
      <c r="Q34" s="110">
        <f>O34/N34*100</f>
        <v>208.3684615384616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112426.35</v>
      </c>
      <c r="G35" s="109">
        <f t="shared" si="0"/>
        <v>8074.570000000007</v>
      </c>
      <c r="H35" s="111">
        <f t="shared" si="3"/>
        <v>107.73783638381636</v>
      </c>
      <c r="I35" s="110">
        <f t="shared" si="4"/>
        <v>5694.350000000006</v>
      </c>
      <c r="J35" s="110">
        <f t="shared" si="5"/>
        <v>105.33518532398907</v>
      </c>
      <c r="K35" s="142">
        <v>74922.37</v>
      </c>
      <c r="L35" s="142">
        <f t="shared" si="1"/>
        <v>37503.98000000001</v>
      </c>
      <c r="M35" s="264">
        <f t="shared" si="10"/>
        <v>1.5005711912209934</v>
      </c>
      <c r="N35" s="111">
        <f>E35-жовтень!E35</f>
        <v>9431.699999999997</v>
      </c>
      <c r="O35" s="179">
        <f>F35-жовтень!F35</f>
        <v>15422.529999999999</v>
      </c>
      <c r="P35" s="112">
        <f t="shared" si="6"/>
        <v>5990.830000000002</v>
      </c>
      <c r="Q35" s="110">
        <f>O35/N35*100</f>
        <v>163.51802962350374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60734.06</v>
      </c>
      <c r="G38" s="191">
        <f>G39+G40+G41+G42+G43+G45+G47+G48+G49+G50+G51+G56+G57+G61</f>
        <v>1478.680000000001</v>
      </c>
      <c r="H38" s="192">
        <f>F38/E38*100</f>
        <v>102.6190004296767</v>
      </c>
      <c r="I38" s="193">
        <f>F38-D38</f>
        <v>-1108.4200000000055</v>
      </c>
      <c r="J38" s="193">
        <f>F38/D38*100</f>
        <v>98.20767213733988</v>
      </c>
      <c r="K38" s="191">
        <v>41741.88</v>
      </c>
      <c r="L38" s="191">
        <f t="shared" si="1"/>
        <v>18992.18</v>
      </c>
      <c r="M38" s="250">
        <f t="shared" si="10"/>
        <v>1.4549910066341047</v>
      </c>
      <c r="N38" s="191">
        <f>N39+N40+N41+N42+N43+N45+N47+N48+N49+N50+N51+N56+N57+N61+N44</f>
        <v>3889</v>
      </c>
      <c r="O38" s="191">
        <f>O39+O40+O41+O42+O43+O45+O47+O48+O49+O50+O51+O56+O57+O61+O44</f>
        <v>5716.330000000003</v>
      </c>
      <c r="P38" s="191">
        <f>P39+P40+P41+P42+P43+P45+P47+P48+P49+P50+P51+P56+P57+P61</f>
        <v>1789.9300000000017</v>
      </c>
      <c r="Q38" s="191">
        <f>O38/N38*100</f>
        <v>146.98714322447935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221.04</v>
      </c>
      <c r="G43" s="202">
        <f t="shared" si="13"/>
        <v>111.03999999999999</v>
      </c>
      <c r="H43" s="204">
        <f t="shared" si="11"/>
        <v>200.94545454545454</v>
      </c>
      <c r="I43" s="205">
        <f t="shared" si="14"/>
        <v>71.03999999999999</v>
      </c>
      <c r="J43" s="205">
        <f t="shared" si="16"/>
        <v>147.36</v>
      </c>
      <c r="K43" s="205">
        <v>267.84</v>
      </c>
      <c r="L43" s="205">
        <f t="shared" si="1"/>
        <v>-46.79999999999998</v>
      </c>
      <c r="M43" s="266">
        <f t="shared" si="17"/>
        <v>0.8252688172043011</v>
      </c>
      <c r="N43" s="204">
        <f>E43-жовтень!E43</f>
        <v>10</v>
      </c>
      <c r="O43" s="208">
        <f>F43-жовтень!F43</f>
        <v>13.359999999999985</v>
      </c>
      <c r="P43" s="207">
        <f t="shared" si="15"/>
        <v>3.359999999999985</v>
      </c>
      <c r="Q43" s="205">
        <f t="shared" si="12"/>
        <v>133.59999999999985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85.35</v>
      </c>
      <c r="G44" s="202">
        <f t="shared" si="13"/>
        <v>71.35</v>
      </c>
      <c r="H44" s="204"/>
      <c r="I44" s="205">
        <f t="shared" si="14"/>
        <v>71.35</v>
      </c>
      <c r="J44" s="205"/>
      <c r="K44" s="205">
        <v>0</v>
      </c>
      <c r="L44" s="205">
        <f t="shared" si="1"/>
        <v>85.35</v>
      </c>
      <c r="M44" s="266"/>
      <c r="N44" s="204">
        <f>E44-жовтень!E44</f>
        <v>0</v>
      </c>
      <c r="O44" s="208">
        <f>F44-жовтень!F44</f>
        <v>37.39999999999999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612.15</v>
      </c>
      <c r="G45" s="202">
        <f t="shared" si="13"/>
        <v>322.15</v>
      </c>
      <c r="H45" s="204">
        <f t="shared" si="11"/>
        <v>211.08620689655174</v>
      </c>
      <c r="I45" s="205">
        <f t="shared" si="14"/>
        <v>312.15</v>
      </c>
      <c r="J45" s="205">
        <f t="shared" si="16"/>
        <v>204.04999999999998</v>
      </c>
      <c r="K45" s="205">
        <v>0</v>
      </c>
      <c r="L45" s="205">
        <f t="shared" si="1"/>
        <v>612.15</v>
      </c>
      <c r="M45" s="266"/>
      <c r="N45" s="204">
        <f>E45-жовтень!E45</f>
        <v>18</v>
      </c>
      <c r="O45" s="208">
        <f>F45-жовтень!F45</f>
        <v>81.13</v>
      </c>
      <c r="P45" s="207">
        <f t="shared" si="15"/>
        <v>63.129999999999995</v>
      </c>
      <c r="Q45" s="205">
        <f t="shared" si="12"/>
        <v>450.7222222222222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9962.67</v>
      </c>
      <c r="G47" s="202">
        <f t="shared" si="13"/>
        <v>413.64999999999964</v>
      </c>
      <c r="H47" s="204">
        <f t="shared" si="11"/>
        <v>104.33185813832205</v>
      </c>
      <c r="I47" s="205">
        <f t="shared" si="14"/>
        <v>62.67000000000007</v>
      </c>
      <c r="J47" s="205">
        <f t="shared" si="16"/>
        <v>100.6330303030303</v>
      </c>
      <c r="K47" s="205">
        <v>8884.54</v>
      </c>
      <c r="L47" s="205">
        <f t="shared" si="1"/>
        <v>1078.1299999999992</v>
      </c>
      <c r="M47" s="266">
        <f t="shared" si="17"/>
        <v>1.1213489949958015</v>
      </c>
      <c r="N47" s="204">
        <f>E47-жовтень!E47</f>
        <v>800</v>
      </c>
      <c r="O47" s="208">
        <f>F47-жовтень!F47</f>
        <v>1086.4300000000003</v>
      </c>
      <c r="P47" s="207">
        <f t="shared" si="15"/>
        <v>286.4300000000003</v>
      </c>
      <c r="Q47" s="205">
        <f t="shared" si="12"/>
        <v>135.80375000000004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274.46</v>
      </c>
      <c r="G48" s="202">
        <f t="shared" si="13"/>
        <v>-375.54</v>
      </c>
      <c r="H48" s="204">
        <f t="shared" si="11"/>
        <v>42.22461538461538</v>
      </c>
      <c r="I48" s="205">
        <f t="shared" si="14"/>
        <v>-375.54</v>
      </c>
      <c r="J48" s="205">
        <f t="shared" si="16"/>
        <v>42.22461538461538</v>
      </c>
      <c r="K48" s="205">
        <v>0</v>
      </c>
      <c r="L48" s="205">
        <f t="shared" si="1"/>
        <v>274.46</v>
      </c>
      <c r="M48" s="266"/>
      <c r="N48" s="204">
        <f>E48-жовтень!E48</f>
        <v>0</v>
      </c>
      <c r="O48" s="208">
        <f>F48-жовтень!F48</f>
        <v>27.92999999999998</v>
      </c>
      <c r="P48" s="207">
        <f t="shared" si="15"/>
        <v>27.92999999999998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5082.53</v>
      </c>
      <c r="G51" s="202">
        <f t="shared" si="13"/>
        <v>-1018.6599999999999</v>
      </c>
      <c r="H51" s="204">
        <f t="shared" si="11"/>
        <v>83.30391284323223</v>
      </c>
      <c r="I51" s="205">
        <f t="shared" si="14"/>
        <v>-1917.5100000000002</v>
      </c>
      <c r="J51" s="205">
        <f t="shared" si="16"/>
        <v>72.60715653053411</v>
      </c>
      <c r="K51" s="205">
        <v>6761.32</v>
      </c>
      <c r="L51" s="205">
        <f t="shared" si="1"/>
        <v>-1678.79</v>
      </c>
      <c r="M51" s="266">
        <f t="shared" si="17"/>
        <v>0.7517067673176243</v>
      </c>
      <c r="N51" s="204">
        <f>E51-жовтень!E51</f>
        <v>635</v>
      </c>
      <c r="O51" s="208">
        <f>F51-жовтень!F51</f>
        <v>72</v>
      </c>
      <c r="P51" s="207">
        <f t="shared" si="15"/>
        <v>-563</v>
      </c>
      <c r="Q51" s="205">
        <f t="shared" si="12"/>
        <v>11.338582677165354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766.01</v>
      </c>
      <c r="G52" s="36">
        <f t="shared" si="13"/>
        <v>-107.98000000000002</v>
      </c>
      <c r="H52" s="32">
        <f t="shared" si="11"/>
        <v>87.64516756484628</v>
      </c>
      <c r="I52" s="110">
        <f t="shared" si="14"/>
        <v>-203.99</v>
      </c>
      <c r="J52" s="110">
        <f t="shared" si="16"/>
        <v>78.9701030927835</v>
      </c>
      <c r="K52" s="110">
        <v>1017.62</v>
      </c>
      <c r="L52" s="110">
        <f>F52-K52</f>
        <v>-251.61</v>
      </c>
      <c r="M52" s="115">
        <f t="shared" si="17"/>
        <v>0.7527466048230184</v>
      </c>
      <c r="N52" s="111">
        <f>E52-жовтень!E52</f>
        <v>135</v>
      </c>
      <c r="O52" s="179">
        <f>F52-жовтень!F52</f>
        <v>63.710000000000036</v>
      </c>
      <c r="P52" s="112">
        <f t="shared" si="15"/>
        <v>-71.28999999999996</v>
      </c>
      <c r="Q52" s="132">
        <f t="shared" si="12"/>
        <v>47.19259259259262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4316.21</v>
      </c>
      <c r="G55" s="36">
        <f t="shared" si="13"/>
        <v>-905.96</v>
      </c>
      <c r="H55" s="32">
        <f t="shared" si="11"/>
        <v>82.65165630379708</v>
      </c>
      <c r="I55" s="110">
        <f t="shared" si="14"/>
        <v>-1707.79</v>
      </c>
      <c r="J55" s="110">
        <f t="shared" si="16"/>
        <v>71.65023240371846</v>
      </c>
      <c r="K55" s="110">
        <v>5698.8</v>
      </c>
      <c r="L55" s="110">
        <f>F55-K55</f>
        <v>-1382.5900000000001</v>
      </c>
      <c r="M55" s="115">
        <f t="shared" si="17"/>
        <v>0.757389274935074</v>
      </c>
      <c r="N55" s="111">
        <f>E55-жовтень!E55</f>
        <v>500</v>
      </c>
      <c r="O55" s="179">
        <f>F55-жовтень!F55</f>
        <v>8.289999999999964</v>
      </c>
      <c r="P55" s="112">
        <f t="shared" si="15"/>
        <v>-491.71000000000004</v>
      </c>
      <c r="Q55" s="132">
        <f t="shared" si="12"/>
        <v>1.6579999999999928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5918.2</v>
      </c>
      <c r="G57" s="202">
        <f t="shared" si="13"/>
        <v>780.2200000000003</v>
      </c>
      <c r="H57" s="204">
        <f t="shared" si="11"/>
        <v>115.18534521348857</v>
      </c>
      <c r="I57" s="205">
        <f t="shared" si="14"/>
        <v>768.1999999999998</v>
      </c>
      <c r="J57" s="205">
        <f t="shared" si="16"/>
        <v>114.91650485436892</v>
      </c>
      <c r="K57" s="205">
        <v>4367.82</v>
      </c>
      <c r="L57" s="205">
        <f aca="true" t="shared" si="18" ref="L57:L63">F57-K57</f>
        <v>1550.38</v>
      </c>
      <c r="M57" s="266">
        <f t="shared" si="17"/>
        <v>1.3549551034612233</v>
      </c>
      <c r="N57" s="204">
        <f>E57-жовтень!E57</f>
        <v>60</v>
      </c>
      <c r="O57" s="208">
        <f>F57-жовтень!F57</f>
        <v>379.7399999999998</v>
      </c>
      <c r="P57" s="207">
        <f t="shared" si="15"/>
        <v>319.7399999999998</v>
      </c>
      <c r="Q57" s="205">
        <f t="shared" si="12"/>
        <v>632.8999999999996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1244.32</v>
      </c>
      <c r="G59" s="202"/>
      <c r="H59" s="204"/>
      <c r="I59" s="205"/>
      <c r="J59" s="205"/>
      <c r="K59" s="206">
        <v>1141.97</v>
      </c>
      <c r="L59" s="205">
        <f t="shared" si="18"/>
        <v>102.34999999999991</v>
      </c>
      <c r="M59" s="266">
        <f t="shared" si="17"/>
        <v>1.0896258220443618</v>
      </c>
      <c r="N59" s="204"/>
      <c r="O59" s="220">
        <f>F59-жовтень!F59</f>
        <v>107.45000000000005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919778.56</v>
      </c>
      <c r="G64" s="191">
        <f>F64-E64</f>
        <v>-23851.219999999856</v>
      </c>
      <c r="H64" s="192">
        <f>F64/E64*100</f>
        <v>97.47239643072733</v>
      </c>
      <c r="I64" s="193">
        <f>F64-D64</f>
        <v>-99166.17000000004</v>
      </c>
      <c r="J64" s="193">
        <f>F64/D64*100</f>
        <v>90.26775770261847</v>
      </c>
      <c r="K64" s="193">
        <v>650580.27</v>
      </c>
      <c r="L64" s="193">
        <f>F64-K64</f>
        <v>269198.29000000004</v>
      </c>
      <c r="M64" s="267">
        <f>F64/K64</f>
        <v>1.4137818228025882</v>
      </c>
      <c r="N64" s="191">
        <f>N8+N38+N62+N63</f>
        <v>92637.22000000002</v>
      </c>
      <c r="O64" s="191">
        <f>O8+O38+O62+O63</f>
        <v>67127.53000000004</v>
      </c>
      <c r="P64" s="195">
        <f>O64-N64</f>
        <v>-25509.689999999973</v>
      </c>
      <c r="Q64" s="193">
        <f>O64/N64*100</f>
        <v>72.46280706610155</v>
      </c>
      <c r="R64" s="28">
        <f>O64-34768</f>
        <v>32359.530000000042</v>
      </c>
      <c r="S64" s="128">
        <f>O64/34768</f>
        <v>1.9307273930050632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2243.96</v>
      </c>
      <c r="G73" s="202">
        <f aca="true" t="shared" si="19" ref="G73:G83">F73-E73</f>
        <v>-1956.04</v>
      </c>
      <c r="H73" s="204"/>
      <c r="I73" s="207">
        <f aca="true" t="shared" si="20" ref="I73:I83">F73-D73</f>
        <v>-12956.04</v>
      </c>
      <c r="J73" s="207">
        <f>F73/D73*100</f>
        <v>14.762894736842105</v>
      </c>
      <c r="K73" s="207">
        <v>619</v>
      </c>
      <c r="L73" s="207">
        <f aca="true" t="shared" si="21" ref="L73:L83">F73-K73</f>
        <v>1624.96</v>
      </c>
      <c r="M73" s="254">
        <f>F73/K73</f>
        <v>3.6251373182552507</v>
      </c>
      <c r="N73" s="204">
        <f>E73-жовтень!E73</f>
        <v>1500</v>
      </c>
      <c r="O73" s="208">
        <f>F73-жовтень!F73</f>
        <v>191.76000000000022</v>
      </c>
      <c r="P73" s="207">
        <f aca="true" t="shared" si="22" ref="P73:P86">O73-N73</f>
        <v>-1308.2399999999998</v>
      </c>
      <c r="Q73" s="207">
        <f>O73/N73*100</f>
        <v>12.784000000000015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7251.29</v>
      </c>
      <c r="G74" s="202">
        <f t="shared" si="19"/>
        <v>-3003.0200000000013</v>
      </c>
      <c r="H74" s="204">
        <f>F74/E74*100</f>
        <v>70.71455807362952</v>
      </c>
      <c r="I74" s="207">
        <f t="shared" si="20"/>
        <v>-9907.71</v>
      </c>
      <c r="J74" s="207">
        <f>F74/D74*100</f>
        <v>42.25939740078093</v>
      </c>
      <c r="K74" s="207">
        <v>8212.99</v>
      </c>
      <c r="L74" s="207">
        <f t="shared" si="21"/>
        <v>-961.6999999999998</v>
      </c>
      <c r="M74" s="254">
        <f>F74/K74</f>
        <v>0.8829050077986215</v>
      </c>
      <c r="N74" s="204">
        <f>E74-жовтень!E74</f>
        <v>5101.4000000000015</v>
      </c>
      <c r="O74" s="208">
        <f>F74-жовтень!F74</f>
        <v>9.789999999999964</v>
      </c>
      <c r="P74" s="207">
        <f t="shared" si="22"/>
        <v>-5091.6100000000015</v>
      </c>
      <c r="Q74" s="207">
        <f>O74/N74*100</f>
        <v>0.19190810365781866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21796.66</v>
      </c>
      <c r="G77" s="226">
        <f t="shared" si="19"/>
        <v>-1169.5000000000036</v>
      </c>
      <c r="H77" s="227">
        <f>F77/E77*100</f>
        <v>94.90772510511117</v>
      </c>
      <c r="I77" s="228">
        <f t="shared" si="20"/>
        <v>-26574.34</v>
      </c>
      <c r="J77" s="228">
        <f>F77/D77*100</f>
        <v>45.06142109941907</v>
      </c>
      <c r="K77" s="228">
        <v>11124.73</v>
      </c>
      <c r="L77" s="228">
        <f t="shared" si="21"/>
        <v>10671.93</v>
      </c>
      <c r="M77" s="260">
        <f>F77/K77</f>
        <v>1.95929788857797</v>
      </c>
      <c r="N77" s="226">
        <f>N73+N74+N75+N76</f>
        <v>12102.400000000001</v>
      </c>
      <c r="O77" s="230">
        <f>O73+O74+O75+O76</f>
        <v>245.21000000000004</v>
      </c>
      <c r="P77" s="228">
        <f t="shared" si="22"/>
        <v>-11857.190000000002</v>
      </c>
      <c r="Q77" s="228">
        <f>O77/N77*100</f>
        <v>2.026127049180328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8350.61</v>
      </c>
      <c r="G80" s="202">
        <f t="shared" si="19"/>
        <v>-1148.0900000000001</v>
      </c>
      <c r="H80" s="204">
        <f>F80/E80*100</f>
        <v>87.91318812047965</v>
      </c>
      <c r="I80" s="207">
        <f t="shared" si="20"/>
        <v>-1149.3899999999994</v>
      </c>
      <c r="J80" s="207">
        <f>F80/D80*100</f>
        <v>87.90115789473685</v>
      </c>
      <c r="K80" s="207">
        <v>0</v>
      </c>
      <c r="L80" s="207">
        <f t="shared" si="21"/>
        <v>8350.61</v>
      </c>
      <c r="M80" s="254"/>
      <c r="N80" s="204">
        <f>E80-жовтень!E80</f>
        <v>1873.4000000000005</v>
      </c>
      <c r="O80" s="208">
        <f>F80-жовтень!F80</f>
        <v>1514.5400000000009</v>
      </c>
      <c r="P80" s="207">
        <f>O80-N80</f>
        <v>-358.8599999999997</v>
      </c>
      <c r="Q80" s="231">
        <f>O80/N80*100</f>
        <v>80.84445393402372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1.36</v>
      </c>
      <c r="G81" s="202">
        <f t="shared" si="19"/>
        <v>1.36</v>
      </c>
      <c r="H81" s="204"/>
      <c r="I81" s="207">
        <f t="shared" si="20"/>
        <v>1.36</v>
      </c>
      <c r="J81" s="207"/>
      <c r="K81" s="207">
        <v>1.31</v>
      </c>
      <c r="L81" s="207">
        <f t="shared" si="21"/>
        <v>0.050000000000000044</v>
      </c>
      <c r="M81" s="254">
        <f>F81/K81</f>
        <v>1.0381679389312977</v>
      </c>
      <c r="N81" s="204">
        <f>E81-жовтень!E81</f>
        <v>0</v>
      </c>
      <c r="O81" s="208">
        <f>F81-жовтень!F81</f>
        <v>0.020000000000000018</v>
      </c>
      <c r="P81" s="207">
        <f t="shared" si="22"/>
        <v>0.020000000000000018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8405.91</v>
      </c>
      <c r="G82" s="224">
        <f>G78+G81+G79+G80</f>
        <v>-1092.7900000000002</v>
      </c>
      <c r="H82" s="227">
        <f>F82/E82*100</f>
        <v>88.49537305104909</v>
      </c>
      <c r="I82" s="228">
        <f t="shared" si="20"/>
        <v>-1095.0900000000001</v>
      </c>
      <c r="J82" s="228">
        <f>F82/D82*100</f>
        <v>88.47395011051468</v>
      </c>
      <c r="K82" s="228">
        <v>1.66</v>
      </c>
      <c r="L82" s="228">
        <f t="shared" si="21"/>
        <v>8404.25</v>
      </c>
      <c r="M82" s="268">
        <f>F82/K82</f>
        <v>5063.801204819278</v>
      </c>
      <c r="N82" s="226">
        <f>N78+N81+N79+N80</f>
        <v>1873.4000000000005</v>
      </c>
      <c r="O82" s="230">
        <f>O78+O81+O79+O80</f>
        <v>1532.5500000000009</v>
      </c>
      <c r="P82" s="226">
        <f>P78+P81+P79+P80</f>
        <v>-340.8499999999997</v>
      </c>
      <c r="Q82" s="228">
        <f>O82/N82*100</f>
        <v>81.80580762250456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30219.86</v>
      </c>
      <c r="G85" s="233">
        <f>F85-E85</f>
        <v>-2275.360000000004</v>
      </c>
      <c r="H85" s="234">
        <f>F85/E85*100</f>
        <v>92.9978624548472</v>
      </c>
      <c r="I85" s="235">
        <f>F85-D85</f>
        <v>-27695.14</v>
      </c>
      <c r="J85" s="235">
        <f>F85/D85*100</f>
        <v>52.17967711301045</v>
      </c>
      <c r="K85" s="235">
        <v>11101.47</v>
      </c>
      <c r="L85" s="235">
        <f>F85-K85</f>
        <v>19118.39</v>
      </c>
      <c r="M85" s="269">
        <f>F85/K85</f>
        <v>2.7221494090422262</v>
      </c>
      <c r="N85" s="232">
        <f>N71+N83+N77+N82</f>
        <v>13976.390000000003</v>
      </c>
      <c r="O85" s="232">
        <f>O71+O83+O77+O82+O84</f>
        <v>1777.760000000001</v>
      </c>
      <c r="P85" s="235">
        <f t="shared" si="22"/>
        <v>-12198.630000000003</v>
      </c>
      <c r="Q85" s="235">
        <f>O85/N85*100</f>
        <v>12.719736641579123</v>
      </c>
      <c r="R85" s="28">
        <f>O85-8104.96</f>
        <v>-6327.199999999999</v>
      </c>
      <c r="S85" s="101">
        <f>O85/8104.96</f>
        <v>0.21934222994314603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949998.42</v>
      </c>
      <c r="G86" s="233">
        <f>F86-E86</f>
        <v>-26126.57999999984</v>
      </c>
      <c r="H86" s="234">
        <f>F86/E86*100</f>
        <v>97.32343910872072</v>
      </c>
      <c r="I86" s="235">
        <f>F86-D86</f>
        <v>-126861.30999999994</v>
      </c>
      <c r="J86" s="235">
        <f>F86/D86*100</f>
        <v>88.21932824992909</v>
      </c>
      <c r="K86" s="235">
        <f>K64+K85</f>
        <v>661681.74</v>
      </c>
      <c r="L86" s="235">
        <f>F86-K86</f>
        <v>288316.68000000005</v>
      </c>
      <c r="M86" s="269">
        <f>F86/K86</f>
        <v>1.4357331668242803</v>
      </c>
      <c r="N86" s="233">
        <f>N64+N85</f>
        <v>106613.61000000002</v>
      </c>
      <c r="O86" s="233">
        <f>O64+O85</f>
        <v>68905.29000000004</v>
      </c>
      <c r="P86" s="235">
        <f t="shared" si="22"/>
        <v>-37708.31999999998</v>
      </c>
      <c r="Q86" s="235">
        <f>O86/N86*100</f>
        <v>64.63085716729789</v>
      </c>
      <c r="R86" s="28">
        <f>O86-42872.96</f>
        <v>26032.330000000038</v>
      </c>
      <c r="S86" s="101">
        <f>O86/42872.96</f>
        <v>1.6071969371837176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4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6377.422499999993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42698</v>
      </c>
      <c r="D90" s="31">
        <v>1286.2</v>
      </c>
      <c r="G90" s="4" t="s">
        <v>59</v>
      </c>
      <c r="O90" s="443"/>
      <c r="P90" s="443"/>
      <c r="T90" s="186">
        <f t="shared" si="23"/>
        <v>1286.2</v>
      </c>
    </row>
    <row r="91" spans="3:16" ht="15">
      <c r="C91" s="87">
        <v>42697</v>
      </c>
      <c r="D91" s="31">
        <v>2540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42696</v>
      </c>
      <c r="D92" s="31">
        <v>3437.1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417.34764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905.7699999999999</v>
      </c>
      <c r="G97" s="73">
        <f>G45+G48+G49</f>
        <v>-74.23000000000005</v>
      </c>
      <c r="H97" s="74"/>
      <c r="I97" s="74"/>
      <c r="N97" s="31">
        <f>N45+N48+N49</f>
        <v>22</v>
      </c>
      <c r="O97" s="246">
        <f>O45+O48+O49</f>
        <v>111.25999999999998</v>
      </c>
      <c r="P97" s="31">
        <f>P45+P48+P49</f>
        <v>89.25999999999998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859598.2699999999</v>
      </c>
      <c r="G99" s="31">
        <f>F99-E99</f>
        <v>-25245.650000000023</v>
      </c>
      <c r="H99" s="415">
        <f>F99/E99</f>
        <v>0.9714688100021075</v>
      </c>
      <c r="I99" s="31">
        <f>F99-D99</f>
        <v>-97913.98000000021</v>
      </c>
      <c r="J99" s="415">
        <f>F99/D99</f>
        <v>0.8977412769392765</v>
      </c>
      <c r="N99" s="31">
        <f>N9+N15+N17+N18+N19+N20+N39+N42+N44+N56+N62+N63</f>
        <v>88760.22000000002</v>
      </c>
      <c r="O99" s="414">
        <f>O9+O15+O17+O18+O19+O20+O39+O42+O44+O56+O62+O63</f>
        <v>61514.98000000004</v>
      </c>
      <c r="P99" s="31">
        <f>O99-N99</f>
        <v>-27245.239999999976</v>
      </c>
      <c r="Q99" s="415">
        <f>O99/N99</f>
        <v>0.693046727464173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60180.29</v>
      </c>
      <c r="G100" s="31">
        <f>G40+G41+G43+G45+G47+G48+G49+G50+G51+G57+G61+G44</f>
        <v>1394.4300000000012</v>
      </c>
      <c r="H100" s="415">
        <f>F100/E100</f>
        <v>1.0237205001338758</v>
      </c>
      <c r="I100" s="31">
        <f>I40+I41+I43+I45+I47+I48+I49+I50+I51+I57+I61+I44</f>
        <v>-1252.1899999999994</v>
      </c>
      <c r="J100" s="415">
        <f>F100/D100</f>
        <v>0.9796168085677153</v>
      </c>
      <c r="K100" s="31">
        <f aca="true" t="shared" si="24" ref="K100:P100">K40+K41+K43+K45+K47+K48+K49+K50+K51+K57+K61+K44</f>
        <v>41736.590000000004</v>
      </c>
      <c r="L100" s="31">
        <f t="shared" si="24"/>
        <v>18443.699999999997</v>
      </c>
      <c r="M100" s="31">
        <f t="shared" si="24"/>
        <v>12.887369612041256</v>
      </c>
      <c r="N100" s="31">
        <f t="shared" si="24"/>
        <v>3877</v>
      </c>
      <c r="O100" s="414">
        <f t="shared" si="24"/>
        <v>5649.950000000002</v>
      </c>
      <c r="P100" s="31">
        <f t="shared" si="24"/>
        <v>1735.5500000000015</v>
      </c>
      <c r="Q100" s="415">
        <f>O100/N100</f>
        <v>1.4572994583440808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919778.5599999999</v>
      </c>
      <c r="G101" s="31">
        <f t="shared" si="25"/>
        <v>-23851.220000000023</v>
      </c>
      <c r="H101" s="415">
        <f>F101/E101</f>
        <v>0.9747239643072731</v>
      </c>
      <c r="I101" s="31">
        <f t="shared" si="25"/>
        <v>-99166.17000000022</v>
      </c>
      <c r="J101" s="415">
        <f>F101/D101</f>
        <v>0.9026775770261846</v>
      </c>
      <c r="K101" s="31">
        <f t="shared" si="25"/>
        <v>41736.590000000004</v>
      </c>
      <c r="L101" s="31">
        <f t="shared" si="25"/>
        <v>18443.699999999997</v>
      </c>
      <c r="M101" s="31">
        <f t="shared" si="25"/>
        <v>12.887369612041256</v>
      </c>
      <c r="N101" s="31">
        <f t="shared" si="25"/>
        <v>92637.22000000002</v>
      </c>
      <c r="O101" s="414">
        <f t="shared" si="25"/>
        <v>67164.93000000004</v>
      </c>
      <c r="P101" s="31">
        <f t="shared" si="25"/>
        <v>-25509.689999999973</v>
      </c>
      <c r="Q101" s="415">
        <f>O101/N101</f>
        <v>0.7250317960750552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1.673470251262188E-10</v>
      </c>
      <c r="H102" s="415"/>
      <c r="I102" s="31">
        <f t="shared" si="26"/>
        <v>1.7462298274040222E-10</v>
      </c>
      <c r="J102" s="415"/>
      <c r="K102" s="31">
        <f t="shared" si="26"/>
        <v>608843.68</v>
      </c>
      <c r="L102" s="31">
        <f t="shared" si="26"/>
        <v>250754.59000000003</v>
      </c>
      <c r="M102" s="31">
        <f t="shared" si="26"/>
        <v>-11.473587789238668</v>
      </c>
      <c r="N102" s="31">
        <f t="shared" si="26"/>
        <v>0</v>
      </c>
      <c r="O102" s="31">
        <f t="shared" si="26"/>
        <v>-37.39999999999418</v>
      </c>
      <c r="P102" s="31">
        <f t="shared" si="26"/>
        <v>0</v>
      </c>
      <c r="Q102" s="31"/>
      <c r="R102" s="31">
        <f t="shared" si="26"/>
        <v>32359.530000000042</v>
      </c>
      <c r="S102" s="31">
        <f t="shared" si="26"/>
        <v>1.9307273930050632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417.34764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2016-11-25T08:36:31Z</cp:lastPrinted>
  <dcterms:created xsi:type="dcterms:W3CDTF">2003-07-28T11:27:56Z</dcterms:created>
  <dcterms:modified xsi:type="dcterms:W3CDTF">2016-11-25T09:07:12Z</dcterms:modified>
  <cp:category/>
  <cp:version/>
  <cp:contentType/>
  <cp:contentStatus/>
</cp:coreProperties>
</file>